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<sst xmlns="http://schemas.openxmlformats.org/spreadsheetml/2006/main" count="398" uniqueCount="198">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</sst>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4">
        <row r="6">
          <cell r="G6">
            <v>113775121.7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99949899.74000001</v>
          </cell>
        </row>
      </sheetData>
      <sheetData sheetId="16">
        <row r="28">
          <cell r="C28">
            <v>1981176</v>
          </cell>
        </row>
      </sheetData>
      <sheetData sheetId="17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37" sqref="E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45" t="s">
        <v>196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191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194</v>
      </c>
      <c r="N3" s="176" t="s">
        <v>188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195</v>
      </c>
      <c r="F4" s="160" t="s">
        <v>116</v>
      </c>
      <c r="G4" s="162" t="s">
        <v>167</v>
      </c>
      <c r="H4" s="164" t="s">
        <v>168</v>
      </c>
      <c r="I4" s="166" t="s">
        <v>192</v>
      </c>
      <c r="J4" s="172" t="s">
        <v>193</v>
      </c>
      <c r="K4" s="125" t="s">
        <v>174</v>
      </c>
      <c r="L4" s="132" t="s">
        <v>173</v>
      </c>
      <c r="M4" s="155"/>
      <c r="N4" s="174" t="s">
        <v>197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187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41331.4</v>
      </c>
      <c r="G8" s="22">
        <f aca="true" t="shared" si="0" ref="G8:G30">F8-E8</f>
        <v>-28698.6</v>
      </c>
      <c r="H8" s="51">
        <f>F8/E8*100</f>
        <v>59.01956304440954</v>
      </c>
      <c r="I8" s="36">
        <f aca="true" t="shared" si="1" ref="I8:I17">F8-D8</f>
        <v>-477997.89999999997</v>
      </c>
      <c r="J8" s="36">
        <f aca="true" t="shared" si="2" ref="J8:J14">F8/D8*100</f>
        <v>7.958611231833059</v>
      </c>
      <c r="K8" s="36">
        <f>F8-72579.4</f>
        <v>-31247.999999999993</v>
      </c>
      <c r="L8" s="138">
        <f>F8/72579.4</f>
        <v>0.5694646139262657</v>
      </c>
      <c r="M8" s="22">
        <f>M10+M19+M33+M56+M68+M30</f>
        <v>35825</v>
      </c>
      <c r="N8" s="22">
        <f>N10+N19+N33+N56+N68+N30</f>
        <v>7583.239999999999</v>
      </c>
      <c r="O8" s="36">
        <f aca="true" t="shared" si="3" ref="O8:O71">N8-M8</f>
        <v>-28241.760000000002</v>
      </c>
      <c r="P8" s="36">
        <f>F8/M8*100</f>
        <v>115.37027215631544</v>
      </c>
      <c r="Q8" s="36">
        <f>N8-38977.9</f>
        <v>-31394.660000000003</v>
      </c>
      <c r="R8" s="136">
        <f>N8/31977.9</f>
        <v>0.23714002482964794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33595.64</v>
      </c>
      <c r="G9" s="22">
        <f t="shared" si="0"/>
        <v>33595.64</v>
      </c>
      <c r="H9" s="20"/>
      <c r="I9" s="56">
        <f t="shared" si="1"/>
        <v>-384770.56</v>
      </c>
      <c r="J9" s="56">
        <f t="shared" si="2"/>
        <v>8.03019938035147</v>
      </c>
      <c r="K9" s="56"/>
      <c r="L9" s="137"/>
      <c r="M9" s="20">
        <f>M10+M17</f>
        <v>28750</v>
      </c>
      <c r="N9" s="20">
        <f>N10+N17</f>
        <v>7027.529999999999</v>
      </c>
      <c r="O9" s="36">
        <f t="shared" si="3"/>
        <v>-21722.47</v>
      </c>
      <c r="P9" s="56">
        <f>F9/M9*100</f>
        <v>116.8544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v>33595.64</v>
      </c>
      <c r="G10" s="49">
        <f t="shared" si="0"/>
        <v>-22304.36</v>
      </c>
      <c r="H10" s="40">
        <f aca="true" t="shared" si="4" ref="H10:H17">F10/E10*100</f>
        <v>60.09953488372093</v>
      </c>
      <c r="I10" s="56">
        <f t="shared" si="1"/>
        <v>-384770.56</v>
      </c>
      <c r="J10" s="56">
        <f t="shared" si="2"/>
        <v>8.03019938035147</v>
      </c>
      <c r="K10" s="56">
        <f>F10-55122.8</f>
        <v>-21527.160000000003</v>
      </c>
      <c r="L10" s="137">
        <f>F10/55122.8</f>
        <v>0.6094690400342507</v>
      </c>
      <c r="M10" s="40">
        <f>E10-'січень '!E10</f>
        <v>28750</v>
      </c>
      <c r="N10" s="40">
        <f>F10-'січень '!F10</f>
        <v>7027.529999999999</v>
      </c>
      <c r="O10" s="53">
        <f t="shared" si="3"/>
        <v>-21722.47</v>
      </c>
      <c r="P10" s="56">
        <f aca="true" t="shared" si="5" ref="P10:P17">N10/M10*100</f>
        <v>24.44358260869565</v>
      </c>
      <c r="Q10" s="143">
        <f>N10-28390.4</f>
        <v>-21362.870000000003</v>
      </c>
      <c r="R10" s="144">
        <f>N10/28390.4</f>
        <v>0.24753191219567172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v>369.23</v>
      </c>
      <c r="G19" s="49">
        <f t="shared" si="0"/>
        <v>169.23000000000002</v>
      </c>
      <c r="H19" s="40">
        <f aca="true" t="shared" si="6" ref="H19:H28">F19/E19*100</f>
        <v>184.615</v>
      </c>
      <c r="I19" s="56">
        <f aca="true" t="shared" si="7" ref="I19:I29">F19-D19</f>
        <v>-5630.77</v>
      </c>
      <c r="J19" s="56">
        <f aca="true" t="shared" si="8" ref="J19:J29">F19/D19*100</f>
        <v>6.153833333333333</v>
      </c>
      <c r="K19" s="56">
        <f>F19-3876</f>
        <v>-3506.77</v>
      </c>
      <c r="L19" s="137">
        <f>F19/3876</f>
        <v>0.09526057791537668</v>
      </c>
      <c r="M19" s="40">
        <f>E19-'січень '!E19</f>
        <v>100</v>
      </c>
      <c r="N19" s="40">
        <f>F19-'січень '!F19</f>
        <v>10.420000000000016</v>
      </c>
      <c r="O19" s="53">
        <f t="shared" si="3"/>
        <v>-89.57999999999998</v>
      </c>
      <c r="P19" s="56">
        <f aca="true" t="shared" si="9" ref="P19:P28">N19/M19*100</f>
        <v>10.420000000000016</v>
      </c>
      <c r="Q19" s="56">
        <f>N19-3681.4</f>
        <v>-3670.98</v>
      </c>
      <c r="R19" s="137">
        <f>N19/3681.4</f>
        <v>0.002830444939425223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9">F20-194.7</f>
        <v>-194.7</v>
      </c>
      <c r="L20" s="137">
        <f aca="true" t="shared" si="11" ref="L20:L29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9">N20-3681.4</f>
        <v>-3681.4</v>
      </c>
      <c r="R20" s="137">
        <f aca="true" t="shared" si="13" ref="R20:R29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85">
        <v>11010232</v>
      </c>
      <c r="D29" s="186">
        <v>3000</v>
      </c>
      <c r="E29" s="41"/>
      <c r="F29" s="188">
        <v>358.79</v>
      </c>
      <c r="G29" s="49"/>
      <c r="H29" s="40"/>
      <c r="I29" s="56">
        <f t="shared" si="7"/>
        <v>-2641.21</v>
      </c>
      <c r="J29" s="56">
        <f t="shared" si="8"/>
        <v>11.959666666666667</v>
      </c>
      <c r="K29" s="190">
        <f>F29-322.6</f>
        <v>36.19</v>
      </c>
      <c r="L29" s="191">
        <f>F29/322.6</f>
        <v>1.112182269063856</v>
      </c>
      <c r="M29" s="188">
        <f>E29-'січень '!E29</f>
        <v>0</v>
      </c>
      <c r="N29" s="188">
        <f>F29-'січень '!F29</f>
        <v>0</v>
      </c>
      <c r="O29" s="190"/>
      <c r="P29" s="56"/>
      <c r="Q29" s="56">
        <f>N29-162.6</f>
        <v>-162.6</v>
      </c>
      <c r="R29" s="137">
        <f>N29/162.6</f>
        <v>0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v>6738.88</v>
      </c>
      <c r="G33" s="49">
        <f aca="true" t="shared" si="14" ref="G33:G72">F33-E33</f>
        <v>-6061.12</v>
      </c>
      <c r="H33" s="40">
        <f aca="true" t="shared" si="15" ref="H33:H67">F33/E33*100</f>
        <v>52.6475</v>
      </c>
      <c r="I33" s="56">
        <f>F33-D33</f>
        <v>-81327.12</v>
      </c>
      <c r="J33" s="56">
        <f aca="true" t="shared" si="16" ref="J33:J72">F33/D33*100</f>
        <v>7.652079122476324</v>
      </c>
      <c r="K33" s="56">
        <f>F33-12535.7</f>
        <v>-5796.820000000001</v>
      </c>
      <c r="L33" s="137">
        <f>F33/12535.7</f>
        <v>0.537575085555653</v>
      </c>
      <c r="M33" s="40">
        <f>E33-'січень '!E33</f>
        <v>6400</v>
      </c>
      <c r="N33" s="40">
        <f>F33-'січень '!F33</f>
        <v>445.59000000000015</v>
      </c>
      <c r="O33" s="53">
        <f t="shared" si="3"/>
        <v>-5954.41</v>
      </c>
      <c r="P33" s="56">
        <f aca="true" t="shared" si="17" ref="P33:P67">N33/M33*100</f>
        <v>6.962343750000002</v>
      </c>
      <c r="Q33" s="143">
        <f>N33-6362.9</f>
        <v>-5917.3099999999995</v>
      </c>
      <c r="R33" s="144">
        <f>N33/6362.9</f>
        <v>0.0700293891150262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137">
        <f aca="true" t="shared" si="20" ref="L34:L55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5">N34-6362.9</f>
        <v>-6362.9</v>
      </c>
      <c r="R34" s="144">
        <f aca="true" t="shared" si="22" ref="R34:R55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86">
        <f>56066+10200</f>
        <v>66266</v>
      </c>
      <c r="E55" s="186">
        <v>9500</v>
      </c>
      <c r="F55" s="188">
        <v>5086.43</v>
      </c>
      <c r="G55" s="186">
        <f t="shared" si="14"/>
        <v>-4413.57</v>
      </c>
      <c r="H55" s="188">
        <f t="shared" si="15"/>
        <v>53.54136842105264</v>
      </c>
      <c r="I55" s="187">
        <f t="shared" si="18"/>
        <v>-61179.57</v>
      </c>
      <c r="J55" s="187">
        <f t="shared" si="16"/>
        <v>7.675776416261733</v>
      </c>
      <c r="K55" s="190">
        <f>F55-9287.5</f>
        <v>-4201.07</v>
      </c>
      <c r="L55" s="191">
        <f>F55/9287.5</f>
        <v>0.547664064602961</v>
      </c>
      <c r="M55" s="188">
        <f>E55-'січень '!E55</f>
        <v>4750</v>
      </c>
      <c r="N55" s="188">
        <f>F55-'січень '!F55</f>
        <v>398.52000000000044</v>
      </c>
      <c r="O55" s="190">
        <f t="shared" si="3"/>
        <v>-4351.48</v>
      </c>
      <c r="P55" s="60">
        <f t="shared" si="17"/>
        <v>8.389894736842114</v>
      </c>
      <c r="Q55" s="143">
        <f>N55-4413.4</f>
        <v>-4014.879999999999</v>
      </c>
      <c r="R55" s="144">
        <f>N55/4413.4</f>
        <v>0.09029772964154631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v>624.59</v>
      </c>
      <c r="G56" s="49">
        <f t="shared" si="14"/>
        <v>-505.40999999999997</v>
      </c>
      <c r="H56" s="40">
        <f t="shared" si="15"/>
        <v>55.273451327433634</v>
      </c>
      <c r="I56" s="56">
        <f t="shared" si="18"/>
        <v>-6235.41</v>
      </c>
      <c r="J56" s="56">
        <f t="shared" si="16"/>
        <v>9.104810495626822</v>
      </c>
      <c r="K56" s="56">
        <f>F56-1019.7</f>
        <v>-395.11</v>
      </c>
      <c r="L56" s="137">
        <f>F56/1019.7</f>
        <v>0.6125232911640679</v>
      </c>
      <c r="M56" s="40">
        <f>E56-'січень '!E56</f>
        <v>575</v>
      </c>
      <c r="N56" s="40">
        <f>F56-'січень '!F56</f>
        <v>96.79000000000008</v>
      </c>
      <c r="O56" s="53">
        <f t="shared" si="3"/>
        <v>-478.2099999999999</v>
      </c>
      <c r="P56" s="56">
        <f t="shared" si="17"/>
        <v>16.833043478260883</v>
      </c>
      <c r="Q56" s="56">
        <f>N56-518.3</f>
        <v>-421.5099999999999</v>
      </c>
      <c r="R56" s="137">
        <f>N56/518.3</f>
        <v>0.18674512830407117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>F58</f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>F59</f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>F60</f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>F61</f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>F62</f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>F63</f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>F64</f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>F65</f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>F66</f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>F67</f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4"/>
        <v>0.15</v>
      </c>
      <c r="H68" s="40"/>
      <c r="I68" s="56">
        <f t="shared" si="18"/>
        <v>0.04999999999999999</v>
      </c>
      <c r="J68" s="56">
        <f t="shared" si="16"/>
        <v>149.99999999999997</v>
      </c>
      <c r="K68" s="56">
        <f>F68-0.2</f>
        <v>-0.05000000000000002</v>
      </c>
      <c r="L68" s="137"/>
      <c r="M68" s="40">
        <f>E68-'січень '!E68</f>
        <v>0</v>
      </c>
      <c r="N68" s="40">
        <f>F68-'січень '!F68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1638.99</v>
      </c>
      <c r="G74" s="50">
        <f aca="true" t="shared" si="23" ref="G74:G92">F74-E74</f>
        <v>-873.1099999999999</v>
      </c>
      <c r="H74" s="51">
        <f aca="true" t="shared" si="24" ref="H74:H86">F74/E74*100</f>
        <v>65.24381991162772</v>
      </c>
      <c r="I74" s="36">
        <f aca="true" t="shared" si="25" ref="I74:I92">F74-D74</f>
        <v>-16026.609999999999</v>
      </c>
      <c r="J74" s="36">
        <f aca="true" t="shared" si="26" ref="J74:J92">F74/D74*100</f>
        <v>9.277862059596051</v>
      </c>
      <c r="K74" s="36">
        <f>F74-2710.3</f>
        <v>-1071.3100000000002</v>
      </c>
      <c r="L74" s="138">
        <f>F74/2710.3</f>
        <v>0.6047264140501051</v>
      </c>
      <c r="M74" s="22">
        <f>M77+M86+M88+M89+M94+M95+M96+M97+M99+M87</f>
        <v>1456</v>
      </c>
      <c r="N74" s="22">
        <f>N77+N86+N88+N89+N94+N95+N96+N97+N99+N32+N103+N87</f>
        <v>621.3600000000001</v>
      </c>
      <c r="O74" s="55">
        <f aca="true" t="shared" si="27" ref="O74:O92">N74-M74</f>
        <v>-834.6399999999999</v>
      </c>
      <c r="P74" s="36">
        <f>N74/M74*100</f>
        <v>42.67582417582418</v>
      </c>
      <c r="Q74" s="36">
        <f>N74-1790.3</f>
        <v>-1168.9399999999998</v>
      </c>
      <c r="R74" s="138">
        <f>N74/1790.3</f>
        <v>0.3470703234094845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3"/>
        <v>#REF!</v>
      </c>
      <c r="H75" s="40" t="e">
        <f t="shared" si="24"/>
        <v>#REF!</v>
      </c>
      <c r="I75" s="56" t="e">
        <f t="shared" si="25"/>
        <v>#REF!</v>
      </c>
      <c r="J75" s="56" t="e">
        <f t="shared" si="26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7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3"/>
        <v>0</v>
      </c>
      <c r="H76" s="40" t="e">
        <f t="shared" si="24"/>
        <v>#DIV/0!</v>
      </c>
      <c r="I76" s="56" t="e">
        <f t="shared" si="25"/>
        <v>#REF!</v>
      </c>
      <c r="J76" s="56" t="e">
        <f t="shared" si="26"/>
        <v>#REF!</v>
      </c>
      <c r="K76" s="56"/>
      <c r="L76" s="137"/>
      <c r="M76" s="59"/>
      <c r="N76" s="59"/>
      <c r="O76" s="53">
        <f t="shared" si="27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0.02</v>
      </c>
      <c r="G77" s="49">
        <f t="shared" si="23"/>
        <v>-300.98</v>
      </c>
      <c r="H77" s="40">
        <f t="shared" si="24"/>
        <v>0.006644518272425249</v>
      </c>
      <c r="I77" s="56">
        <f t="shared" si="25"/>
        <v>-1699.98</v>
      </c>
      <c r="J77" s="56">
        <f t="shared" si="26"/>
        <v>0.0011764705882352942</v>
      </c>
      <c r="K77" s="56">
        <f>F77-1273.9</f>
        <v>-1273.88</v>
      </c>
      <c r="L77" s="137">
        <f>F77/1273.9</f>
        <v>1.56998194520763E-05</v>
      </c>
      <c r="M77" s="40">
        <f>E77-'січень '!E77</f>
        <v>300</v>
      </c>
      <c r="N77" s="40">
        <f>F77-'січень '!F77</f>
        <v>0.02</v>
      </c>
      <c r="O77" s="53">
        <f t="shared" si="27"/>
        <v>-299.98</v>
      </c>
      <c r="P77" s="56">
        <f aca="true" t="shared" si="28" ref="P77:P86">N77/M77*100</f>
        <v>0.006666666666666667</v>
      </c>
      <c r="Q77" s="56">
        <f>N77-1273</f>
        <v>-1272.98</v>
      </c>
      <c r="R77" s="137">
        <f>N77/1273</f>
        <v>1.5710919088766692E-05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3"/>
        <v>0</v>
      </c>
      <c r="H78" s="40" t="e">
        <f t="shared" si="24"/>
        <v>#DIV/0!</v>
      </c>
      <c r="I78" s="56">
        <f t="shared" si="25"/>
        <v>0</v>
      </c>
      <c r="J78" s="56" t="e">
        <f t="shared" si="26"/>
        <v>#DIV/0!</v>
      </c>
      <c r="K78" s="56"/>
      <c r="L78" s="137">
        <f aca="true" t="shared" si="29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7"/>
        <v>0</v>
      </c>
      <c r="P78" s="56" t="e">
        <f t="shared" si="28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3"/>
        <v>0</v>
      </c>
      <c r="H79" s="40" t="e">
        <f t="shared" si="24"/>
        <v>#DIV/0!</v>
      </c>
      <c r="I79" s="56">
        <f t="shared" si="25"/>
        <v>0</v>
      </c>
      <c r="J79" s="56" t="e">
        <f t="shared" si="26"/>
        <v>#DIV/0!</v>
      </c>
      <c r="K79" s="56"/>
      <c r="L79" s="137">
        <f t="shared" si="29"/>
        <v>0</v>
      </c>
      <c r="M79" s="40">
        <f>E79-'січень '!E79</f>
        <v>0</v>
      </c>
      <c r="N79" s="40">
        <f>F79-'січень '!F79</f>
        <v>0</v>
      </c>
      <c r="O79" s="53">
        <f t="shared" si="27"/>
        <v>0</v>
      </c>
      <c r="P79" s="56" t="e">
        <f t="shared" si="28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3"/>
        <v>0</v>
      </c>
      <c r="H80" s="40" t="e">
        <f t="shared" si="24"/>
        <v>#DIV/0!</v>
      </c>
      <c r="I80" s="56">
        <f t="shared" si="25"/>
        <v>0</v>
      </c>
      <c r="J80" s="56" t="e">
        <f t="shared" si="26"/>
        <v>#DIV/0!</v>
      </c>
      <c r="K80" s="56"/>
      <c r="L80" s="137">
        <f t="shared" si="29"/>
        <v>0</v>
      </c>
      <c r="M80" s="40">
        <f>E80-'січень '!E80</f>
        <v>0</v>
      </c>
      <c r="N80" s="40">
        <f>F80-'січень '!F80</f>
        <v>0</v>
      </c>
      <c r="O80" s="53">
        <f t="shared" si="27"/>
        <v>0</v>
      </c>
      <c r="P80" s="56" t="e">
        <f t="shared" si="28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3"/>
        <v>0</v>
      </c>
      <c r="H81" s="40" t="e">
        <f t="shared" si="24"/>
        <v>#DIV/0!</v>
      </c>
      <c r="I81" s="56">
        <f t="shared" si="25"/>
        <v>0</v>
      </c>
      <c r="J81" s="56" t="e">
        <f t="shared" si="26"/>
        <v>#DIV/0!</v>
      </c>
      <c r="K81" s="56"/>
      <c r="L81" s="137">
        <f t="shared" si="29"/>
        <v>0</v>
      </c>
      <c r="M81" s="40">
        <f>E81-'січень '!E81</f>
        <v>0</v>
      </c>
      <c r="N81" s="40">
        <f>F81-'січень '!F81</f>
        <v>0</v>
      </c>
      <c r="O81" s="53">
        <f t="shared" si="27"/>
        <v>0</v>
      </c>
      <c r="P81" s="56" t="e">
        <f t="shared" si="28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3"/>
        <v>0</v>
      </c>
      <c r="H82" s="40" t="e">
        <f t="shared" si="24"/>
        <v>#DIV/0!</v>
      </c>
      <c r="I82" s="56">
        <f t="shared" si="25"/>
        <v>0</v>
      </c>
      <c r="J82" s="56" t="e">
        <f t="shared" si="26"/>
        <v>#DIV/0!</v>
      </c>
      <c r="K82" s="56"/>
      <c r="L82" s="137">
        <f t="shared" si="29"/>
        <v>0</v>
      </c>
      <c r="M82" s="40">
        <f>E82-'січень '!E82</f>
        <v>0</v>
      </c>
      <c r="N82" s="40">
        <f>F82-'січень '!F82</f>
        <v>0</v>
      </c>
      <c r="O82" s="53">
        <f t="shared" si="27"/>
        <v>0</v>
      </c>
      <c r="P82" s="56" t="e">
        <f t="shared" si="28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3"/>
        <v>0</v>
      </c>
      <c r="H83" s="40" t="e">
        <f t="shared" si="24"/>
        <v>#DIV/0!</v>
      </c>
      <c r="I83" s="56">
        <f t="shared" si="25"/>
        <v>0</v>
      </c>
      <c r="J83" s="56" t="e">
        <f t="shared" si="26"/>
        <v>#DIV/0!</v>
      </c>
      <c r="K83" s="56"/>
      <c r="L83" s="137">
        <f t="shared" si="29"/>
        <v>0</v>
      </c>
      <c r="M83" s="40">
        <f>E83-'січень '!E83</f>
        <v>0</v>
      </c>
      <c r="N83" s="40">
        <f>F83-'січень '!F83</f>
        <v>0</v>
      </c>
      <c r="O83" s="53">
        <f t="shared" si="27"/>
        <v>0</v>
      </c>
      <c r="P83" s="56" t="e">
        <f t="shared" si="28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3"/>
        <v>0</v>
      </c>
      <c r="H84" s="40" t="e">
        <f t="shared" si="24"/>
        <v>#DIV/0!</v>
      </c>
      <c r="I84" s="56">
        <f t="shared" si="25"/>
        <v>0</v>
      </c>
      <c r="J84" s="56" t="e">
        <f t="shared" si="26"/>
        <v>#DIV/0!</v>
      </c>
      <c r="K84" s="56"/>
      <c r="L84" s="137">
        <f t="shared" si="29"/>
        <v>0</v>
      </c>
      <c r="M84" s="40">
        <f>E84-'січень '!E84</f>
        <v>0</v>
      </c>
      <c r="N84" s="40">
        <f>F84-'січень '!F84</f>
        <v>0</v>
      </c>
      <c r="O84" s="53">
        <f t="shared" si="27"/>
        <v>0</v>
      </c>
      <c r="P84" s="56" t="e">
        <f t="shared" si="28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3"/>
        <v>0</v>
      </c>
      <c r="H85" s="40" t="e">
        <f t="shared" si="24"/>
        <v>#DIV/0!</v>
      </c>
      <c r="I85" s="56">
        <f t="shared" si="25"/>
        <v>0</v>
      </c>
      <c r="J85" s="56" t="e">
        <f t="shared" si="26"/>
        <v>#DIV/0!</v>
      </c>
      <c r="K85" s="56"/>
      <c r="L85" s="137">
        <f t="shared" si="29"/>
        <v>0</v>
      </c>
      <c r="M85" s="40">
        <f>E85-'січень '!E85</f>
        <v>0</v>
      </c>
      <c r="N85" s="40">
        <f>F85-'січень '!F85</f>
        <v>0</v>
      </c>
      <c r="O85" s="53">
        <f t="shared" si="27"/>
        <v>0</v>
      </c>
      <c r="P85" s="56" t="e">
        <f t="shared" si="28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3"/>
        <v>-100</v>
      </c>
      <c r="H86" s="40">
        <f t="shared" si="24"/>
        <v>0</v>
      </c>
      <c r="I86" s="56">
        <f t="shared" si="25"/>
        <v>-4300</v>
      </c>
      <c r="J86" s="56">
        <f t="shared" si="26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7"/>
        <v>-100</v>
      </c>
      <c r="P86" s="56">
        <f t="shared" si="28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23.94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19.71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0</v>
      </c>
      <c r="G88" s="49">
        <f t="shared" si="23"/>
        <v>-1.1</v>
      </c>
      <c r="H88" s="40">
        <f>F88/E88*100</f>
        <v>0</v>
      </c>
      <c r="I88" s="56">
        <f t="shared" si="25"/>
        <v>-5.1</v>
      </c>
      <c r="J88" s="56">
        <f t="shared" si="26"/>
        <v>0</v>
      </c>
      <c r="K88" s="56">
        <f>F88-0</f>
        <v>0</v>
      </c>
      <c r="L88" s="137" t="e">
        <f>F88/0*100</f>
        <v>#DIV/0!</v>
      </c>
      <c r="M88" s="40">
        <f>E88-'січень '!E88</f>
        <v>1</v>
      </c>
      <c r="N88" s="40">
        <f>F88-'січень '!F88</f>
        <v>0</v>
      </c>
      <c r="O88" s="53">
        <f t="shared" si="27"/>
        <v>-1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v>10.59</v>
      </c>
      <c r="G89" s="49">
        <f t="shared" si="23"/>
        <v>-9.41</v>
      </c>
      <c r="H89" s="40">
        <f>F89/E89*100</f>
        <v>52.949999999999996</v>
      </c>
      <c r="I89" s="56">
        <f t="shared" si="25"/>
        <v>-164.41</v>
      </c>
      <c r="J89" s="56">
        <f t="shared" si="26"/>
        <v>6.051428571428572</v>
      </c>
      <c r="K89" s="56">
        <f>F89-31.6</f>
        <v>-21.01</v>
      </c>
      <c r="L89" s="137">
        <f>F89/31.6</f>
        <v>0.33512658227848097</v>
      </c>
      <c r="M89" s="40">
        <f>E89-'січень '!E89</f>
        <v>10</v>
      </c>
      <c r="N89" s="40">
        <f>F89-'січень '!F89</f>
        <v>1.5700000000000003</v>
      </c>
      <c r="O89" s="53">
        <f t="shared" si="27"/>
        <v>-8.43</v>
      </c>
      <c r="P89" s="56">
        <f>N89/M89*100</f>
        <v>15.700000000000003</v>
      </c>
      <c r="Q89" s="56">
        <f>N89-19.8</f>
        <v>-18.23</v>
      </c>
      <c r="R89" s="137">
        <f>N89/19.8</f>
        <v>0.0792929292929293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3"/>
        <v>0</v>
      </c>
      <c r="H90" s="40" t="e">
        <f>F90/E90*100</f>
        <v>#DIV/0!</v>
      </c>
      <c r="I90" s="56">
        <f t="shared" si="25"/>
        <v>0</v>
      </c>
      <c r="J90" s="56" t="e">
        <f t="shared" si="26"/>
        <v>#DIV/0!</v>
      </c>
      <c r="K90" s="56"/>
      <c r="L90" s="137">
        <f t="shared" si="29"/>
        <v>0</v>
      </c>
      <c r="M90" s="40">
        <f>E90-'січень '!E90</f>
        <v>0</v>
      </c>
      <c r="N90" s="40">
        <f>F90-'січень '!F90</f>
        <v>0</v>
      </c>
      <c r="O90" s="53">
        <f t="shared" si="27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3"/>
        <v>0</v>
      </c>
      <c r="H91" s="40" t="e">
        <f>F91/E91*100</f>
        <v>#DIV/0!</v>
      </c>
      <c r="I91" s="56">
        <f t="shared" si="25"/>
        <v>0</v>
      </c>
      <c r="J91" s="56" t="e">
        <f t="shared" si="26"/>
        <v>#DIV/0!</v>
      </c>
      <c r="K91" s="56"/>
      <c r="L91" s="137">
        <f t="shared" si="29"/>
        <v>0</v>
      </c>
      <c r="M91" s="40">
        <f>E91-'січень '!E91</f>
        <v>0</v>
      </c>
      <c r="N91" s="40">
        <f>F91-'січень '!F91</f>
        <v>0</v>
      </c>
      <c r="O91" s="53">
        <f t="shared" si="27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3"/>
        <v>0</v>
      </c>
      <c r="H92" s="40" t="e">
        <f>F92/E92*100</f>
        <v>#DIV/0!</v>
      </c>
      <c r="I92" s="56">
        <f t="shared" si="25"/>
        <v>0</v>
      </c>
      <c r="J92" s="56" t="e">
        <f t="shared" si="26"/>
        <v>#DIV/0!</v>
      </c>
      <c r="K92" s="56"/>
      <c r="L92" s="137">
        <f t="shared" si="29"/>
        <v>0</v>
      </c>
      <c r="M92" s="40">
        <f>E92-'січень '!E92</f>
        <v>0</v>
      </c>
      <c r="N92" s="40">
        <f>F92-'січень '!F92</f>
        <v>0</v>
      </c>
      <c r="O92" s="53">
        <f t="shared" si="27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29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0" ref="G94:G101">F94-E94</f>
        <v>0</v>
      </c>
      <c r="H94" s="40"/>
      <c r="I94" s="56">
        <f aca="true" t="shared" si="31" ref="I94:I100">F94-D94</f>
        <v>0</v>
      </c>
      <c r="J94" s="56"/>
      <c r="K94" s="56"/>
      <c r="L94" s="137">
        <f t="shared" si="29"/>
        <v>0</v>
      </c>
      <c r="M94" s="40">
        <f>E94-'січень '!E94</f>
        <v>0</v>
      </c>
      <c r="N94" s="40">
        <f>F94-'січень '!F94</f>
        <v>0</v>
      </c>
      <c r="O94" s="53">
        <f aca="true" t="shared" si="32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1141.67</v>
      </c>
      <c r="G95" s="49">
        <f t="shared" si="30"/>
        <v>-118.32999999999993</v>
      </c>
      <c r="H95" s="40">
        <f>F95/E95*100</f>
        <v>90.60873015873017</v>
      </c>
      <c r="I95" s="56">
        <f t="shared" si="31"/>
        <v>-5158.33</v>
      </c>
      <c r="J95" s="56">
        <f>F95/D95*100</f>
        <v>18.121746031746035</v>
      </c>
      <c r="K95" s="56">
        <f>F95-825</f>
        <v>316.6700000000001</v>
      </c>
      <c r="L95" s="137">
        <f>F95/825</f>
        <v>1.3838424242424243</v>
      </c>
      <c r="M95" s="40">
        <f>E95-'січень '!E95</f>
        <v>630</v>
      </c>
      <c r="N95" s="40">
        <f>F95-'січень '!F95</f>
        <v>494.18000000000006</v>
      </c>
      <c r="O95" s="53">
        <f t="shared" si="32"/>
        <v>-135.81999999999994</v>
      </c>
      <c r="P95" s="56">
        <f>N95/M95*100</f>
        <v>78.44126984126986</v>
      </c>
      <c r="Q95" s="56">
        <f>N95-186.8</f>
        <v>307.38000000000005</v>
      </c>
      <c r="R95" s="137">
        <f>N95/186.8</f>
        <v>2.645503211991435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v>85.02</v>
      </c>
      <c r="G96" s="49">
        <f t="shared" si="30"/>
        <v>-84.98</v>
      </c>
      <c r="H96" s="40">
        <f>F96/E96*100</f>
        <v>50.01176470588236</v>
      </c>
      <c r="I96" s="56">
        <f t="shared" si="31"/>
        <v>-1114.98</v>
      </c>
      <c r="J96" s="56">
        <f>F96/D96*100</f>
        <v>7.085</v>
      </c>
      <c r="K96" s="56">
        <f>F96-60</f>
        <v>25.019999999999996</v>
      </c>
      <c r="L96" s="137">
        <f>F96/60</f>
        <v>1.417</v>
      </c>
      <c r="M96" s="40">
        <f>E96-'січень '!E96</f>
        <v>85</v>
      </c>
      <c r="N96" s="40">
        <f>F96-'січень '!F96</f>
        <v>5.509999999999991</v>
      </c>
      <c r="O96" s="53">
        <f t="shared" si="32"/>
        <v>-79.49000000000001</v>
      </c>
      <c r="P96" s="56">
        <f>N96/M96*100</f>
        <v>6.48235294117646</v>
      </c>
      <c r="Q96" s="56">
        <f>N96-42.8</f>
        <v>-37.290000000000006</v>
      </c>
      <c r="R96" s="137">
        <f>N96/42.8</f>
        <v>0.12873831775700914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0"/>
        <v>0</v>
      </c>
      <c r="H97" s="40"/>
      <c r="I97" s="56">
        <f t="shared" si="31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2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0"/>
        <v>0</v>
      </c>
      <c r="H98" s="40" t="e">
        <f>F98/E98*100</f>
        <v>#DIV/0!</v>
      </c>
      <c r="I98" s="56">
        <f t="shared" si="31"/>
        <v>0</v>
      </c>
      <c r="J98" s="56" t="e">
        <f>F98/D98*100</f>
        <v>#DIV/0!</v>
      </c>
      <c r="K98" s="56"/>
      <c r="L98" s="137">
        <f t="shared" si="29"/>
        <v>0</v>
      </c>
      <c r="M98" s="40">
        <f>E98-'січень '!E98</f>
        <v>0</v>
      </c>
      <c r="N98" s="40">
        <f>F98-'січень '!F98</f>
        <v>0</v>
      </c>
      <c r="O98" s="53">
        <f t="shared" si="32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v>377.75</v>
      </c>
      <c r="G99" s="49">
        <f t="shared" si="30"/>
        <v>-282.25</v>
      </c>
      <c r="H99" s="40">
        <f>F99/E99*100</f>
        <v>57.23484848484849</v>
      </c>
      <c r="I99" s="56">
        <f t="shared" si="31"/>
        <v>-3502.25</v>
      </c>
      <c r="J99" s="56">
        <f>F99/D99*100</f>
        <v>9.735824742268042</v>
      </c>
      <c r="K99" s="56">
        <f>F99-488.6</f>
        <v>-110.85000000000002</v>
      </c>
      <c r="L99" s="137">
        <f>F99/488.6</f>
        <v>0.77312730249693</v>
      </c>
      <c r="M99" s="40">
        <f>E99-'січень '!E99</f>
        <v>330</v>
      </c>
      <c r="N99" s="40">
        <f>F99-'січень '!F99</f>
        <v>100.37</v>
      </c>
      <c r="O99" s="53">
        <f t="shared" si="32"/>
        <v>-229.63</v>
      </c>
      <c r="P99" s="56">
        <f>N99/M99*100</f>
        <v>30.415151515151518</v>
      </c>
      <c r="Q99" s="56">
        <f>N99-252.2</f>
        <v>-151.82999999999998</v>
      </c>
      <c r="R99" s="137">
        <f>N99/252.2</f>
        <v>0.39797779540047584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0"/>
        <v>0</v>
      </c>
      <c r="H100" s="40" t="e">
        <f>F100/E100*100</f>
        <v>#DIV/0!</v>
      </c>
      <c r="I100" s="56">
        <f t="shared" si="31"/>
        <v>0</v>
      </c>
      <c r="J100" s="56" t="e">
        <f>F100/D100*100</f>
        <v>#DIV/0!</v>
      </c>
      <c r="K100" s="56"/>
      <c r="L100" s="137">
        <f t="shared" si="29"/>
        <v>0</v>
      </c>
      <c r="M100" s="40">
        <f>E100-'січень '!E100</f>
        <v>0</v>
      </c>
      <c r="N100" s="40">
        <f>F100-'січень '!F100</f>
        <v>0</v>
      </c>
      <c r="O100" s="53">
        <f t="shared" si="32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0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29"/>
        <v>0</v>
      </c>
      <c r="M101" s="40">
        <f>E101-'січень '!E101</f>
        <v>0</v>
      </c>
      <c r="N101" s="40">
        <f>F101-'січень '!F101</f>
        <v>0</v>
      </c>
      <c r="O101" s="53">
        <f t="shared" si="32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8">
        <v>80.7</v>
      </c>
      <c r="G102" s="186"/>
      <c r="H102" s="188"/>
      <c r="I102" s="187"/>
      <c r="J102" s="187"/>
      <c r="K102" s="190">
        <f>F102-54.4</f>
        <v>26.300000000000004</v>
      </c>
      <c r="L102" s="191">
        <f>F102/54.4</f>
        <v>1.4834558823529413</v>
      </c>
      <c r="M102" s="188">
        <f>E102-'січень '!E102</f>
        <v>0</v>
      </c>
      <c r="N102" s="188">
        <f>F102-'січень '!F102</f>
        <v>16</v>
      </c>
      <c r="O102" s="53"/>
      <c r="P102" s="60"/>
      <c r="Q102" s="60">
        <f>N102-26.6</f>
        <v>-10.600000000000001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3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4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v>2.68</v>
      </c>
      <c r="G104" s="49">
        <f>F104-E104</f>
        <v>0.6800000000000002</v>
      </c>
      <c r="H104" s="40"/>
      <c r="I104" s="56">
        <f t="shared" si="33"/>
        <v>-42.32</v>
      </c>
      <c r="J104" s="56">
        <f aca="true" t="shared" si="35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1</v>
      </c>
      <c r="N104" s="40">
        <f>F104-'січень '!F104</f>
        <v>0.4700000000000002</v>
      </c>
      <c r="O104" s="53">
        <f t="shared" si="34"/>
        <v>-0.5299999999999998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4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42973.07</v>
      </c>
      <c r="G106" s="50">
        <f>F106-E106</f>
        <v>-29571.030000000006</v>
      </c>
      <c r="H106" s="51">
        <f>F106/E106*100</f>
        <v>59.23716746089619</v>
      </c>
      <c r="I106" s="36">
        <f t="shared" si="33"/>
        <v>-494066.83</v>
      </c>
      <c r="J106" s="36">
        <f t="shared" si="35"/>
        <v>8.001839341918544</v>
      </c>
      <c r="K106" s="36">
        <f>F106-75300.9</f>
        <v>-32327.829999999994</v>
      </c>
      <c r="L106" s="138">
        <f>F106/75300.9</f>
        <v>0.5706846797315835</v>
      </c>
      <c r="M106" s="22">
        <f>M8+M74+M104+M105</f>
        <v>37282</v>
      </c>
      <c r="N106" s="22">
        <f>N8+N74+N104+N105</f>
        <v>8205.069999999998</v>
      </c>
      <c r="O106" s="55">
        <f t="shared" si="34"/>
        <v>-29076.93</v>
      </c>
      <c r="P106" s="36">
        <f>N106/M106*100</f>
        <v>22.008127246392355</v>
      </c>
      <c r="Q106" s="36">
        <f>N106-40779.2</f>
        <v>-32574.129999999997</v>
      </c>
      <c r="R106" s="138">
        <f>N106/40779.2</f>
        <v>0.20120723309922703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33680.659999999996</v>
      </c>
      <c r="G107" s="71">
        <f>G10-G18+G96</f>
        <v>-22389.34</v>
      </c>
      <c r="H107" s="72">
        <f>F107/E107*100</f>
        <v>60.06894952737649</v>
      </c>
      <c r="I107" s="52">
        <f t="shared" si="33"/>
        <v>-385885.54000000004</v>
      </c>
      <c r="J107" s="52">
        <f t="shared" si="35"/>
        <v>8.027496018506733</v>
      </c>
      <c r="K107" s="52">
        <f>F107-55213.7</f>
        <v>-21533.04</v>
      </c>
      <c r="L107" s="139">
        <f>F107/55213.7</f>
        <v>0.6100054877684342</v>
      </c>
      <c r="M107" s="71">
        <f>M10-M18+M96</f>
        <v>28835</v>
      </c>
      <c r="N107" s="71">
        <f>N10-N18+N96</f>
        <v>7033.039999999999</v>
      </c>
      <c r="O107" s="53">
        <f t="shared" si="34"/>
        <v>-21801.96</v>
      </c>
      <c r="P107" s="52">
        <f>N107/M107*100</f>
        <v>24.390636379400032</v>
      </c>
      <c r="Q107" s="52">
        <f>N107-28449</f>
        <v>-21415.96</v>
      </c>
      <c r="R107" s="139">
        <f>N107/28449</f>
        <v>0.24721571935744663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9292.410000000003</v>
      </c>
      <c r="G108" s="62">
        <f>F108-E108</f>
        <v>-7181.690000000002</v>
      </c>
      <c r="H108" s="72">
        <f>F108/E108*100</f>
        <v>56.40617696869632</v>
      </c>
      <c r="I108" s="52">
        <f t="shared" si="33"/>
        <v>-108181.29000000001</v>
      </c>
      <c r="J108" s="52">
        <f t="shared" si="35"/>
        <v>7.910204581961752</v>
      </c>
      <c r="K108" s="52">
        <f>F108-20087.2</f>
        <v>-10794.789999999997</v>
      </c>
      <c r="L108" s="139">
        <f>F108/20087.2</f>
        <v>0.4626035485284163</v>
      </c>
      <c r="M108" s="71">
        <f>M106-M107</f>
        <v>8447</v>
      </c>
      <c r="N108" s="71">
        <f>N106-N107</f>
        <v>1172.0299999999988</v>
      </c>
      <c r="O108" s="53">
        <f t="shared" si="34"/>
        <v>-7274.970000000001</v>
      </c>
      <c r="P108" s="52">
        <f>N108/M108*100</f>
        <v>13.875103587072319</v>
      </c>
      <c r="Q108" s="52">
        <f>N108-12330.3</f>
        <v>-11158.27</v>
      </c>
      <c r="R108" s="139">
        <f>N108/12330.3</f>
        <v>0.09505283731944875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33680.659999999996</v>
      </c>
      <c r="G109" s="111">
        <f>F109-E109</f>
        <v>-26334.04</v>
      </c>
      <c r="H109" s="72">
        <f>F109/E109*100</f>
        <v>56.12068376581071</v>
      </c>
      <c r="I109" s="81">
        <f t="shared" si="33"/>
        <v>-385885.54000000004</v>
      </c>
      <c r="J109" s="52">
        <f t="shared" si="35"/>
        <v>8.027496018506733</v>
      </c>
      <c r="K109" s="52"/>
      <c r="L109" s="139"/>
      <c r="M109" s="122">
        <f>E109-'січень '!E109</f>
        <v>31301.299999999996</v>
      </c>
      <c r="N109" s="71">
        <f>N107</f>
        <v>7033.039999999999</v>
      </c>
      <c r="O109" s="118">
        <f t="shared" si="34"/>
        <v>-24268.259999999995</v>
      </c>
      <c r="P109" s="52">
        <f>N109/M109*100</f>
        <v>22.468843147089736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1981.176</v>
      </c>
      <c r="G110" s="62">
        <f>F110-E110</f>
        <v>-1238.2350000000001</v>
      </c>
      <c r="H110" s="72"/>
      <c r="I110" s="85">
        <f t="shared" si="33"/>
        <v>-2889.204</v>
      </c>
      <c r="J110" s="52"/>
      <c r="K110" s="52"/>
      <c r="L110" s="139"/>
      <c r="M110" s="40">
        <f>E110-'січень '!E110</f>
        <v>1650.981</v>
      </c>
      <c r="N110" s="71">
        <f>F110-'січень '!F110</f>
        <v>412.7449999999999</v>
      </c>
      <c r="O110" s="86"/>
      <c r="P110" s="52">
        <f>N110/M110*100</f>
        <v>24.999984857487753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-3.03</v>
      </c>
      <c r="G113" s="49">
        <f aca="true" t="shared" si="36" ref="G113:G125">F113-E113</f>
        <v>-3.03</v>
      </c>
      <c r="H113" s="40"/>
      <c r="I113" s="60">
        <f aca="true" t="shared" si="37" ref="I113:I124">F113-D113</f>
        <v>-3.03</v>
      </c>
      <c r="J113" s="60"/>
      <c r="K113" s="60">
        <f>F113-4.1</f>
        <v>-7.129999999999999</v>
      </c>
      <c r="L113" s="140">
        <f>F113/4.1</f>
        <v>-0.7390243902439024</v>
      </c>
      <c r="M113" s="40">
        <f>E113-'січень '!E113</f>
        <v>0</v>
      </c>
      <c r="N113" s="40">
        <f>F113-'січень '!F113</f>
        <v>-3.21</v>
      </c>
      <c r="O113" s="53"/>
      <c r="P113" s="60"/>
      <c r="Q113" s="60">
        <f>N113-3.2</f>
        <v>-6.41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v>77.77</v>
      </c>
      <c r="G114" s="49">
        <f t="shared" si="36"/>
        <v>-1048.28</v>
      </c>
      <c r="H114" s="40">
        <f aca="true" t="shared" si="38" ref="H114:H125">F114/E114*100</f>
        <v>6.906442875538386</v>
      </c>
      <c r="I114" s="60">
        <f t="shared" si="37"/>
        <v>-3593.73</v>
      </c>
      <c r="J114" s="60">
        <f aca="true" t="shared" si="39" ref="J114:J120">F114/D114*100</f>
        <v>2.1182078169685417</v>
      </c>
      <c r="K114" s="60">
        <f>F114-605.5</f>
        <v>-527.73</v>
      </c>
      <c r="L114" s="140">
        <f>F114/605.5</f>
        <v>0.1284393063583815</v>
      </c>
      <c r="M114" s="40">
        <f>E114-'січень '!E114</f>
        <v>563.02</v>
      </c>
      <c r="N114" s="40">
        <f>F114-'січень '!F114</f>
        <v>9.629999999999995</v>
      </c>
      <c r="O114" s="53">
        <f aca="true" t="shared" si="40" ref="O114:O125">N114-M114</f>
        <v>-553.39</v>
      </c>
      <c r="P114" s="60">
        <f>N114/M114*100</f>
        <v>1.7104188128308044</v>
      </c>
      <c r="Q114" s="60">
        <f>N114-358.7</f>
        <v>-349.07</v>
      </c>
      <c r="R114" s="140">
        <f>N114/358.7</f>
        <v>0.026846947309729568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32.96</v>
      </c>
      <c r="G115" s="49">
        <f t="shared" si="36"/>
        <v>-17.04</v>
      </c>
      <c r="H115" s="40">
        <f t="shared" si="38"/>
        <v>65.92</v>
      </c>
      <c r="I115" s="60">
        <f t="shared" si="37"/>
        <v>-235.14000000000001</v>
      </c>
      <c r="J115" s="60">
        <f t="shared" si="39"/>
        <v>12.293920179037672</v>
      </c>
      <c r="K115" s="60">
        <f>F115-39.4</f>
        <v>-6.439999999999998</v>
      </c>
      <c r="L115" s="140">
        <f>F115/39.4</f>
        <v>0.8365482233502538</v>
      </c>
      <c r="M115" s="40">
        <f>E115-'січень '!E115</f>
        <v>25</v>
      </c>
      <c r="N115" s="40">
        <f>F115-'січень '!F115</f>
        <v>8.43</v>
      </c>
      <c r="O115" s="53">
        <f t="shared" si="40"/>
        <v>-16.57</v>
      </c>
      <c r="P115" s="60">
        <f>N115/M115*100</f>
        <v>33.72</v>
      </c>
      <c r="Q115" s="60">
        <f>N115-16.9</f>
        <v>-8.469999999999999</v>
      </c>
      <c r="R115" s="140">
        <f>N115/16.9</f>
        <v>0.4988165680473373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107.69999999999999</v>
      </c>
      <c r="G116" s="62">
        <f t="shared" si="36"/>
        <v>-1068.35</v>
      </c>
      <c r="H116" s="72">
        <f t="shared" si="38"/>
        <v>9.15777390417074</v>
      </c>
      <c r="I116" s="61">
        <f t="shared" si="37"/>
        <v>-3831.9</v>
      </c>
      <c r="J116" s="61">
        <f t="shared" si="39"/>
        <v>2.733780079195857</v>
      </c>
      <c r="K116" s="61">
        <f>F116-648.9</f>
        <v>-541.2</v>
      </c>
      <c r="L116" s="141">
        <f>F116/648.9</f>
        <v>0.1659731853906611</v>
      </c>
      <c r="M116" s="62">
        <f>M114+M115+M113</f>
        <v>588.02</v>
      </c>
      <c r="N116" s="38">
        <f>SUM(N113:N115)</f>
        <v>14.849999999999994</v>
      </c>
      <c r="O116" s="61">
        <f t="shared" si="40"/>
        <v>-573.17</v>
      </c>
      <c r="P116" s="61">
        <f>N116/M116*100</f>
        <v>2.5254243052957372</v>
      </c>
      <c r="Q116" s="61">
        <f>N116-378.9</f>
        <v>-364.04999999999995</v>
      </c>
      <c r="R116" s="141">
        <f>N116/378.9</f>
        <v>0.03919239904988122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6"/>
        <v>0</v>
      </c>
      <c r="H117" s="40" t="e">
        <f t="shared" si="38"/>
        <v>#DIV/0!</v>
      </c>
      <c r="I117" s="60">
        <f t="shared" si="37"/>
        <v>0</v>
      </c>
      <c r="J117" s="60" t="e">
        <f t="shared" si="39"/>
        <v>#DIV/0!</v>
      </c>
      <c r="K117" s="60"/>
      <c r="L117" s="140"/>
      <c r="M117" s="41">
        <v>0</v>
      </c>
      <c r="N117" s="41">
        <f>F117</f>
        <v>0</v>
      </c>
      <c r="O117" s="53">
        <f t="shared" si="40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55.36</v>
      </c>
      <c r="G118" s="49">
        <f t="shared" si="36"/>
        <v>55.36</v>
      </c>
      <c r="H118" s="40" t="e">
        <f t="shared" si="38"/>
        <v>#DIV/0!</v>
      </c>
      <c r="I118" s="60">
        <f t="shared" si="37"/>
        <v>55.36</v>
      </c>
      <c r="J118" s="60" t="e">
        <f t="shared" si="39"/>
        <v>#DIV/0!</v>
      </c>
      <c r="K118" s="60">
        <f>F118-5.2</f>
        <v>50.16</v>
      </c>
      <c r="L118" s="140">
        <f>F118/5.2</f>
        <v>10.646153846153846</v>
      </c>
      <c r="M118" s="40">
        <f>E118-'січень '!E118</f>
        <v>0</v>
      </c>
      <c r="N118" s="40">
        <f>F118-'січень '!F118</f>
        <v>1.0399999999999991</v>
      </c>
      <c r="O118" s="53" t="s">
        <v>166</v>
      </c>
      <c r="P118" s="60"/>
      <c r="Q118" s="60">
        <f>N118-5</f>
        <v>-3.960000000000001</v>
      </c>
      <c r="R118" s="140">
        <f>N118/5</f>
        <v>0.20799999999999982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v>9627.76</v>
      </c>
      <c r="G119" s="49">
        <f t="shared" si="36"/>
        <v>9627.76</v>
      </c>
      <c r="H119" s="40" t="e">
        <f t="shared" si="38"/>
        <v>#DIV/0!</v>
      </c>
      <c r="I119" s="53">
        <f t="shared" si="37"/>
        <v>-16359.624999999998</v>
      </c>
      <c r="J119" s="60">
        <f t="shared" si="39"/>
        <v>37.047821471841054</v>
      </c>
      <c r="K119" s="60">
        <f>F119-14451.2</f>
        <v>-4823.4400000000005</v>
      </c>
      <c r="L119" s="140">
        <f>F119/14451.2</f>
        <v>0.6662256421612046</v>
      </c>
      <c r="M119" s="40">
        <f>E119-'січень '!E119</f>
        <v>0</v>
      </c>
      <c r="N119" s="40">
        <f>F119-'січень '!F119</f>
        <v>2147.9000000000005</v>
      </c>
      <c r="O119" s="53">
        <f t="shared" si="40"/>
        <v>2147.9000000000005</v>
      </c>
      <c r="P119" s="60" t="e">
        <f aca="true" t="shared" si="41" ref="P119:P124">N119/M119*100</f>
        <v>#DIV/0!</v>
      </c>
      <c r="Q119" s="60">
        <f>N119-8093.7</f>
        <v>-5945.799999999999</v>
      </c>
      <c r="R119" s="140">
        <f>N119/8093.7</f>
        <v>0.2653792455860732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0.07</v>
      </c>
      <c r="G120" s="49">
        <f t="shared" si="36"/>
        <v>0.07</v>
      </c>
      <c r="H120" s="40" t="e">
        <f t="shared" si="38"/>
        <v>#DIV/0!</v>
      </c>
      <c r="I120" s="60">
        <f t="shared" si="37"/>
        <v>0.07</v>
      </c>
      <c r="J120" s="60" t="e">
        <f t="shared" si="39"/>
        <v>#DIV/0!</v>
      </c>
      <c r="K120" s="60">
        <f>F120-280.4</f>
        <v>-280.33</v>
      </c>
      <c r="L120" s="140">
        <f>F120/230.3*100</f>
        <v>0.030395136778115502</v>
      </c>
      <c r="M120" s="40">
        <f>E120-'січень '!E120</f>
        <v>0</v>
      </c>
      <c r="N120" s="40">
        <f>F120-'січень '!F120</f>
        <v>0.030000000000000006</v>
      </c>
      <c r="O120" s="53">
        <f t="shared" si="40"/>
        <v>0.030000000000000006</v>
      </c>
      <c r="P120" s="60" t="e">
        <f t="shared" si="41"/>
        <v>#DIV/0!</v>
      </c>
      <c r="Q120" s="60">
        <f>N120-230.3</f>
        <v>-230.27</v>
      </c>
      <c r="R120" s="140">
        <f>N120/230.3</f>
        <v>0.0001302648719062093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624.3</v>
      </c>
      <c r="G121" s="49">
        <f t="shared" si="36"/>
        <v>624.3</v>
      </c>
      <c r="H121" s="40" t="e">
        <f t="shared" si="38"/>
        <v>#DIV/0!</v>
      </c>
      <c r="I121" s="60">
        <f t="shared" si="37"/>
        <v>624.3</v>
      </c>
      <c r="J121" s="60" t="e">
        <f>F121/D121*100</f>
        <v>#DIV/0!</v>
      </c>
      <c r="K121" s="60">
        <f>F121-238.5</f>
        <v>385.79999999999995</v>
      </c>
      <c r="L121" s="140">
        <f>F121/280.4</f>
        <v>2.2264621968616263</v>
      </c>
      <c r="M121" s="40">
        <f>E121-'січень '!E121</f>
        <v>0</v>
      </c>
      <c r="N121" s="40">
        <f>F121-'січень '!F121</f>
        <v>174.28999999999996</v>
      </c>
      <c r="O121" s="53">
        <f t="shared" si="40"/>
        <v>174.28999999999996</v>
      </c>
      <c r="P121" s="60" t="e">
        <f t="shared" si="41"/>
        <v>#DIV/0!</v>
      </c>
      <c r="Q121" s="60">
        <f>N121-50.2</f>
        <v>124.08999999999996</v>
      </c>
      <c r="R121" s="140">
        <f>N121/50.2</f>
        <v>3.471912350597609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42.3</v>
      </c>
      <c r="G122" s="49">
        <f t="shared" si="36"/>
        <v>42.3</v>
      </c>
      <c r="H122" s="40" t="e">
        <f t="shared" si="38"/>
        <v>#DIV/0!</v>
      </c>
      <c r="I122" s="60">
        <f t="shared" si="37"/>
        <v>42.3</v>
      </c>
      <c r="J122" s="60" t="e">
        <f>F122/D122*100</f>
        <v>#DIV/0!</v>
      </c>
      <c r="K122" s="60">
        <f>F122-306.8</f>
        <v>-264.5</v>
      </c>
      <c r="L122" s="140">
        <f>F122/306.8</f>
        <v>0.13787483702737938</v>
      </c>
      <c r="M122" s="40">
        <f>E122-'січень '!E122</f>
        <v>0</v>
      </c>
      <c r="N122" s="40">
        <f>F122-'січень '!F122</f>
        <v>41.25</v>
      </c>
      <c r="O122" s="53">
        <f t="shared" si="40"/>
        <v>41.25</v>
      </c>
      <c r="P122" s="60" t="e">
        <f t="shared" si="41"/>
        <v>#DIV/0!</v>
      </c>
      <c r="Q122" s="60">
        <f>N122-292.3</f>
        <v>-251.05</v>
      </c>
      <c r="R122" s="140">
        <f>N122/292.3</f>
        <v>0.14112213479302085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10349.789999999999</v>
      </c>
      <c r="G123" s="62">
        <f t="shared" si="36"/>
        <v>10349.789999999999</v>
      </c>
      <c r="H123" s="72" t="e">
        <f t="shared" si="38"/>
        <v>#DIV/0!</v>
      </c>
      <c r="I123" s="61">
        <f t="shared" si="37"/>
        <v>-15637.595</v>
      </c>
      <c r="J123" s="61">
        <f>F123/D123*100</f>
        <v>39.826207985143554</v>
      </c>
      <c r="K123" s="61">
        <f>F123-15573.7</f>
        <v>-5223.910000000002</v>
      </c>
      <c r="L123" s="141">
        <f>F123/15573.7</f>
        <v>0.664568471204659</v>
      </c>
      <c r="M123" s="62">
        <f>M119+M120+M121+M122+M118</f>
        <v>0</v>
      </c>
      <c r="N123" s="62">
        <f>N119+N120+N121+N122+N118</f>
        <v>2364.5100000000007</v>
      </c>
      <c r="O123" s="61">
        <f t="shared" si="40"/>
        <v>2364.5100000000007</v>
      </c>
      <c r="P123" s="61" t="e">
        <f t="shared" si="41"/>
        <v>#DIV/0!</v>
      </c>
      <c r="Q123" s="61">
        <f>N123-8732.6</f>
        <v>-6368.09</v>
      </c>
      <c r="R123" s="141">
        <f>N123/8732.6</f>
        <v>0.27076815610471117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6"/>
        <v>0.16</v>
      </c>
      <c r="H124" s="40" t="e">
        <f t="shared" si="38"/>
        <v>#DIV/0!</v>
      </c>
      <c r="I124" s="60">
        <f t="shared" si="37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0"/>
        <v>0</v>
      </c>
      <c r="P124" s="60" t="e">
        <f t="shared" si="41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6"/>
        <v>0</v>
      </c>
      <c r="H125" s="40" t="e">
        <f t="shared" si="38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0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v>21.15</v>
      </c>
      <c r="G127" s="49">
        <f aca="true" t="shared" si="42" ref="G127:G134">F127-E127</f>
        <v>-1439.04</v>
      </c>
      <c r="H127" s="40">
        <f>F127/E127*100</f>
        <v>1.4484416411562877</v>
      </c>
      <c r="I127" s="60">
        <f aca="true" t="shared" si="43" ref="I127:I134">F127-D127</f>
        <v>-8678.85</v>
      </c>
      <c r="J127" s="60">
        <f>F127/D127*100</f>
        <v>0.24310344827586208</v>
      </c>
      <c r="K127" s="60">
        <f>F127-2439.3</f>
        <v>-2418.15</v>
      </c>
      <c r="L127" s="140">
        <f>F127/2439.3</f>
        <v>0.008670520231213872</v>
      </c>
      <c r="M127" s="40">
        <f>E127-'січень '!E127</f>
        <v>730.09</v>
      </c>
      <c r="N127" s="40">
        <f>F127-'січень '!F127</f>
        <v>3.479999999999997</v>
      </c>
      <c r="O127" s="53">
        <f aca="true" t="shared" si="44" ref="O127:O134">N127-M127</f>
        <v>-726.61</v>
      </c>
      <c r="P127" s="60">
        <f>N127/M127*100</f>
        <v>0.47665356325932373</v>
      </c>
      <c r="Q127" s="60">
        <f>N127-2355</f>
        <v>-2351.52</v>
      </c>
      <c r="R127" s="140">
        <f>N127/2355</f>
        <v>0.0014777070063694254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2"/>
        <v>-0.16</v>
      </c>
      <c r="H128" s="40"/>
      <c r="I128" s="60">
        <f t="shared" si="43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4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29.909999999999997</v>
      </c>
      <c r="G129" s="62">
        <f t="shared" si="42"/>
        <v>-1430.28</v>
      </c>
      <c r="H129" s="72">
        <f>F129/E129*100</f>
        <v>2.048363569124566</v>
      </c>
      <c r="I129" s="61">
        <f t="shared" si="43"/>
        <v>-8720.79</v>
      </c>
      <c r="J129" s="61">
        <f>F129/D129*100</f>
        <v>0.3418012273303849</v>
      </c>
      <c r="K129" s="61">
        <f>F129-2474.4</f>
        <v>-2444.4900000000002</v>
      </c>
      <c r="L129" s="141">
        <f>G129/2474.4</f>
        <v>-0.5780310378273521</v>
      </c>
      <c r="M129" s="62">
        <f>M124+M127+M128+M126</f>
        <v>730.09</v>
      </c>
      <c r="N129" s="62">
        <f>N124+N127+N128+N126</f>
        <v>3.5299999999999967</v>
      </c>
      <c r="O129" s="61">
        <f t="shared" si="44"/>
        <v>-726.5600000000001</v>
      </c>
      <c r="P129" s="61">
        <f>N129/M129*100</f>
        <v>0.4835020339958082</v>
      </c>
      <c r="Q129" s="61">
        <f>N129-2389.7</f>
        <v>-2386.1699999999996</v>
      </c>
      <c r="R129" s="139">
        <f>N129/2389.7</f>
        <v>0.0014771728668870557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2"/>
        <v>-18.48</v>
      </c>
      <c r="H132" s="40">
        <f>F132/E132*100</f>
        <v>0</v>
      </c>
      <c r="I132" s="60">
        <f t="shared" si="43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10487.849999999999</v>
      </c>
      <c r="G133" s="50">
        <f t="shared" si="42"/>
        <v>7229.129999999999</v>
      </c>
      <c r="H133" s="51">
        <f>F133/E133*100</f>
        <v>321.83955663573425</v>
      </c>
      <c r="I133" s="36">
        <f t="shared" si="43"/>
        <v>-28219.835</v>
      </c>
      <c r="J133" s="36">
        <f>F133/D133*100</f>
        <v>27.095007102594742</v>
      </c>
      <c r="K133" s="36">
        <f>F133-18698.1</f>
        <v>-8210.25</v>
      </c>
      <c r="L133" s="138">
        <f>F133/18698.1</f>
        <v>0.5609045838882025</v>
      </c>
      <c r="M133" s="31">
        <f>M116+M130+M123+M129+M132+M131</f>
        <v>1629.3500000000001</v>
      </c>
      <c r="N133" s="31">
        <f>N116+N130+N123+N129+N132+N131</f>
        <v>2382.890000000001</v>
      </c>
      <c r="O133" s="36">
        <f t="shared" si="44"/>
        <v>753.5400000000006</v>
      </c>
      <c r="P133" s="36">
        <f>N133/M133*100</f>
        <v>146.24789026298834</v>
      </c>
      <c r="Q133" s="36">
        <f>N133-11501.6</f>
        <v>-9118.71</v>
      </c>
      <c r="R133" s="138">
        <f>N133/11501.6</f>
        <v>0.20717900118244426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53460.92</v>
      </c>
      <c r="G134" s="50">
        <f t="shared" si="42"/>
        <v>-22341.90000000001</v>
      </c>
      <c r="H134" s="51">
        <f>F134/E134*100</f>
        <v>70.52629440435064</v>
      </c>
      <c r="I134" s="36">
        <f t="shared" si="43"/>
        <v>-522286.665</v>
      </c>
      <c r="J134" s="36">
        <f>F134/D134*100</f>
        <v>9.285478809259791</v>
      </c>
      <c r="K134" s="36">
        <f>F134-93999</f>
        <v>-40538.08</v>
      </c>
      <c r="L134" s="138">
        <f>F134/93999</f>
        <v>0.5687392419068288</v>
      </c>
      <c r="M134" s="22">
        <f>M106+M133</f>
        <v>38911.35</v>
      </c>
      <c r="N134" s="22">
        <f>N106+N133</f>
        <v>10587.96</v>
      </c>
      <c r="O134" s="36">
        <f t="shared" si="44"/>
        <v>-28323.39</v>
      </c>
      <c r="P134" s="36">
        <f>N134/M134*100</f>
        <v>27.21046686892128</v>
      </c>
      <c r="Q134" s="36">
        <f>N134-52280.8</f>
        <v>-41692.840000000004</v>
      </c>
      <c r="R134" s="138">
        <f>N134/52280.8</f>
        <v>0.202521001973956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15</v>
      </c>
      <c r="D136" s="4" t="s">
        <v>118</v>
      </c>
    </row>
    <row r="137" spans="2:17" ht="31.5">
      <c r="B137" s="78" t="s">
        <v>154</v>
      </c>
      <c r="C137" s="39">
        <f>IF(O106&lt;0,ABS(O106/C136),0)</f>
        <v>1938.462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41677</v>
      </c>
      <c r="D138" s="39">
        <v>4290.9</v>
      </c>
      <c r="N138" s="169"/>
      <c r="O138" s="169"/>
    </row>
    <row r="139" spans="3:15" ht="15.75">
      <c r="C139" s="120">
        <v>41676</v>
      </c>
      <c r="D139" s="39">
        <v>1310.9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41675</v>
      </c>
      <c r="D140" s="39">
        <v>1032.8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113775.1217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99949.89974000001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44" sqref="I14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190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181</v>
      </c>
      <c r="N3" s="176" t="s">
        <v>180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175</v>
      </c>
      <c r="H4" s="164" t="s">
        <v>176</v>
      </c>
      <c r="I4" s="166" t="s">
        <v>177</v>
      </c>
      <c r="J4" s="172" t="s">
        <v>178</v>
      </c>
      <c r="K4" s="125" t="s">
        <v>174</v>
      </c>
      <c r="L4" s="132" t="s">
        <v>173</v>
      </c>
      <c r="M4" s="155"/>
      <c r="N4" s="174" t="s">
        <v>189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179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85">
        <v>11010232</v>
      </c>
      <c r="D29" s="41"/>
      <c r="E29" s="41"/>
      <c r="F29" s="188">
        <v>358.79</v>
      </c>
      <c r="G29" s="49"/>
      <c r="H29" s="40"/>
      <c r="I29" s="56"/>
      <c r="J29" s="56"/>
      <c r="K29" s="187">
        <f>F29-160.03</f>
        <v>198.76000000000002</v>
      </c>
      <c r="L29" s="18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4687.91</v>
      </c>
      <c r="G55" s="186">
        <f t="shared" si="14"/>
        <v>-62.090000000000146</v>
      </c>
      <c r="H55" s="188">
        <f t="shared" si="15"/>
        <v>98.69284210526315</v>
      </c>
      <c r="I55" s="187">
        <f t="shared" si="18"/>
        <v>-23892.09</v>
      </c>
      <c r="J55" s="187">
        <f t="shared" si="16"/>
        <v>16.402764170748775</v>
      </c>
      <c r="K55" s="187">
        <f>F55-4574.19</f>
        <v>113.72000000000025</v>
      </c>
      <c r="L55" s="18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7" ref="G74:G92">F74-E74</f>
        <v>-38.469999999999914</v>
      </c>
      <c r="H74" s="51">
        <f aca="true" t="shared" si="28" ref="H74:H86">F74/E74*100</f>
        <v>96.3573525234353</v>
      </c>
      <c r="I74" s="36">
        <f aca="true" t="shared" si="29" ref="I74:I92">F74-D74</f>
        <v>-6688.47</v>
      </c>
      <c r="J74" s="36">
        <f aca="true" t="shared" si="30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1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7"/>
        <v>-0.9800000000000004</v>
      </c>
      <c r="H89" s="40">
        <f>F89/E89*100</f>
        <v>90.19999999999999</v>
      </c>
      <c r="I89" s="56">
        <f t="shared" si="29"/>
        <v>-50.980000000000004</v>
      </c>
      <c r="J89" s="56">
        <f t="shared" si="30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4"/>
        <v>10</v>
      </c>
      <c r="N89" s="40">
        <f t="shared" si="35"/>
        <v>9.02</v>
      </c>
      <c r="O89" s="53">
        <f t="shared" si="31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6"/>
        <v>17.49000000000001</v>
      </c>
      <c r="H95" s="40">
        <f>F95/E95*100</f>
        <v>102.7761904761905</v>
      </c>
      <c r="I95" s="56">
        <f t="shared" si="37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4"/>
        <v>630</v>
      </c>
      <c r="N95" s="40">
        <f t="shared" si="35"/>
        <v>647.49</v>
      </c>
      <c r="O95" s="53">
        <f t="shared" si="38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6"/>
        <v>-5.489999999999995</v>
      </c>
      <c r="H96" s="40">
        <f>F96/E96*100</f>
        <v>93.54117647058824</v>
      </c>
      <c r="I96" s="56">
        <f t="shared" si="37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4"/>
        <v>85</v>
      </c>
      <c r="N96" s="40">
        <f t="shared" si="35"/>
        <v>79.51</v>
      </c>
      <c r="O96" s="53">
        <f t="shared" si="38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6"/>
        <v>-52.620000000000005</v>
      </c>
      <c r="H99" s="40">
        <f>F99/E99*100</f>
        <v>84.05454545454545</v>
      </c>
      <c r="I99" s="56">
        <f t="shared" si="37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4"/>
        <v>330</v>
      </c>
      <c r="N99" s="40">
        <f t="shared" si="35"/>
        <v>277.38</v>
      </c>
      <c r="O99" s="53">
        <f t="shared" si="38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64.7</v>
      </c>
      <c r="G102" s="186"/>
      <c r="H102" s="188"/>
      <c r="I102" s="187"/>
      <c r="J102" s="187"/>
      <c r="K102" s="187">
        <f>F102-30.6</f>
        <v>34.1</v>
      </c>
      <c r="L102" s="190">
        <f>F102/30.6*100</f>
        <v>211.43790849673204</v>
      </c>
      <c r="M102" s="40">
        <f t="shared" si="34"/>
        <v>0</v>
      </c>
      <c r="N102" s="40">
        <f t="shared" si="35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39"/>
        <v>-3.79</v>
      </c>
      <c r="J104" s="56">
        <f aca="true" t="shared" si="41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4"/>
        <v>1</v>
      </c>
      <c r="N104" s="40">
        <f t="shared" si="35"/>
        <v>2.21</v>
      </c>
      <c r="O104" s="53">
        <f t="shared" si="40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39"/>
        <v>-196209.2</v>
      </c>
      <c r="J106" s="36">
        <f t="shared" si="41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0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39"/>
        <v>-154082.38</v>
      </c>
      <c r="J107" s="52">
        <f t="shared" si="41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0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39"/>
        <v>-42126.82000000001</v>
      </c>
      <c r="J108" s="52">
        <f t="shared" si="41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0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39"/>
        <v>-392918.58</v>
      </c>
      <c r="J109" s="52">
        <f t="shared" si="41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0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39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2"/>
        <v>-494.89</v>
      </c>
      <c r="H114" s="40">
        <f aca="true" t="shared" si="44" ref="H114:H125">F114/E114*100</f>
        <v>12.102374651439533</v>
      </c>
      <c r="I114" s="60">
        <f t="shared" si="43"/>
        <v>-3310.02</v>
      </c>
      <c r="J114" s="60">
        <f aca="true" t="shared" si="45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>E114</f>
        <v>563.03</v>
      </c>
      <c r="N114" s="40">
        <f>F114</f>
        <v>68.14</v>
      </c>
      <c r="O114" s="53">
        <f aca="true" t="shared" si="46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2"/>
        <v>-495.17999999999995</v>
      </c>
      <c r="H116" s="72">
        <f t="shared" si="44"/>
        <v>15.790010713739097</v>
      </c>
      <c r="I116" s="61">
        <f t="shared" si="43"/>
        <v>-3435.31</v>
      </c>
      <c r="J116" s="61">
        <f t="shared" si="45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6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2"/>
        <v>54.32</v>
      </c>
      <c r="H118" s="40" t="e">
        <f t="shared" si="44"/>
        <v>#DIV/0!</v>
      </c>
      <c r="I118" s="60">
        <f t="shared" si="43"/>
        <v>54.32</v>
      </c>
      <c r="J118" s="60" t="e">
        <f t="shared" si="45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>F118</f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2"/>
        <v>7479.86</v>
      </c>
      <c r="H119" s="40" t="e">
        <f t="shared" si="44"/>
        <v>#DIV/0!</v>
      </c>
      <c r="I119" s="53">
        <f t="shared" si="43"/>
        <v>7479.86</v>
      </c>
      <c r="J119" s="60" t="e">
        <f t="shared" si="45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>F119</f>
        <v>7479.86</v>
      </c>
      <c r="O119" s="53">
        <f t="shared" si="46"/>
        <v>7479.86</v>
      </c>
      <c r="P119" s="60" t="e">
        <f aca="true" t="shared" si="47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2"/>
        <v>0.04</v>
      </c>
      <c r="H120" s="40" t="e">
        <f t="shared" si="44"/>
        <v>#DIV/0!</v>
      </c>
      <c r="I120" s="60">
        <f t="shared" si="43"/>
        <v>0.04</v>
      </c>
      <c r="J120" s="60" t="e">
        <f t="shared" si="45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>F120</f>
        <v>0.04</v>
      </c>
      <c r="O120" s="53">
        <f t="shared" si="46"/>
        <v>0.04</v>
      </c>
      <c r="P120" s="60" t="e">
        <f t="shared" si="47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2"/>
        <v>450.01</v>
      </c>
      <c r="H121" s="40" t="e">
        <f t="shared" si="44"/>
        <v>#DIV/0!</v>
      </c>
      <c r="I121" s="60">
        <f t="shared" si="43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>F121</f>
        <v>450.01</v>
      </c>
      <c r="O121" s="53">
        <f t="shared" si="46"/>
        <v>450.01</v>
      </c>
      <c r="P121" s="60" t="e">
        <f t="shared" si="47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2"/>
        <v>7985.28</v>
      </c>
      <c r="H123" s="72" t="e">
        <f t="shared" si="44"/>
        <v>#DIV/0!</v>
      </c>
      <c r="I123" s="61">
        <f t="shared" si="43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6"/>
        <v>7985.28</v>
      </c>
      <c r="P123" s="61" t="e">
        <f t="shared" si="47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48" ref="G127:G134">F127-E127</f>
        <v>-712.4300000000001</v>
      </c>
      <c r="H127" s="40">
        <f>F127/E127*100</f>
        <v>2.4202164087111355</v>
      </c>
      <c r="I127" s="60">
        <f aca="true" t="shared" si="49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>E127</f>
        <v>730.1</v>
      </c>
      <c r="N127" s="40">
        <f>F127</f>
        <v>17.67</v>
      </c>
      <c r="O127" s="53">
        <f aca="true" t="shared" si="50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48"/>
        <v>-0.21</v>
      </c>
      <c r="H128" s="40"/>
      <c r="I128" s="60">
        <f t="shared" si="49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>E128</f>
        <v>0</v>
      </c>
      <c r="N128" s="40">
        <f>F128</f>
        <v>-0.21</v>
      </c>
      <c r="O128" s="53">
        <f t="shared" si="50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48"/>
        <v>-703.72</v>
      </c>
      <c r="H129" s="72">
        <f>F129/E129*100</f>
        <v>3.6132036707300372</v>
      </c>
      <c r="I129" s="61">
        <f t="shared" si="49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0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>E130</f>
        <v>0</v>
      </c>
      <c r="N130" s="40">
        <f>F130</f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48"/>
        <v>6475.59</v>
      </c>
      <c r="H133" s="51">
        <f>F133/E133*100</f>
        <v>497.4290676764639</v>
      </c>
      <c r="I133" s="36">
        <f t="shared" si="49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0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48"/>
        <v>5981.489999999998</v>
      </c>
      <c r="H134" s="51">
        <f>F134/E134*100</f>
        <v>116.21374805612245</v>
      </c>
      <c r="I134" s="36">
        <f t="shared" si="49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0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69"/>
      <c r="O138" s="169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v>111410.62</v>
      </c>
      <c r="E142" s="80"/>
      <c r="F142" s="100" t="s">
        <v>147</v>
      </c>
      <c r="G142" s="170" t="s">
        <v>149</v>
      </c>
      <c r="H142" s="170"/>
      <c r="I142" s="116">
        <v>97585.4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2014-02-10T13:24:28Z</cp:lastPrinted>
  <dcterms:created xsi:type="dcterms:W3CDTF">2003-07-28T11:27:56Z</dcterms:created>
  <dcterms:modified xsi:type="dcterms:W3CDTF">2014-02-10T13:24:54Z</dcterms:modified>
  <cp:category/>
  <cp:version/>
  <cp:contentType/>
  <cp:contentStatus/>
</cp:coreProperties>
</file>